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jcsicsné Hajni\Documents\2025. év\2025. I. félév\"/>
    </mc:Choice>
  </mc:AlternateContent>
  <xr:revisionPtr revIDLastSave="0" documentId="13_ncr:1_{EC63E8D7-80C0-4B30-8DD0-E089FAC43A6E}" xr6:coauthVersionLast="47" xr6:coauthVersionMax="47" xr10:uidLastSave="{00000000-0000-0000-0000-000000000000}"/>
  <bookViews>
    <workbookView xWindow="-120" yWindow="-120" windowWidth="29040" windowHeight="15840" xr2:uid="{43FCD248-EB14-4E0B-B60B-2C29DB0E9318}"/>
  </bookViews>
  <sheets>
    <sheet name="Összesítő" sheetId="2" r:id="rId1"/>
    <sheet name="072210" sheetId="1" r:id="rId2"/>
    <sheet name="018030" sheetId="12" r:id="rId3"/>
  </sheets>
  <definedNames>
    <definedName name="_xlnm.Print_Area" localSheetId="1">'072210'!$A$1:$F$61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5" i="1"/>
  <c r="F5" i="1" s="1"/>
  <c r="E4" i="1"/>
  <c r="E38" i="1"/>
  <c r="F38" i="1" s="1"/>
  <c r="E34" i="1"/>
  <c r="F34" i="1" s="1"/>
  <c r="E13" i="1"/>
  <c r="E11" i="1"/>
  <c r="F11" i="1" s="1"/>
  <c r="E48" i="1"/>
  <c r="F48" i="1" s="1"/>
  <c r="F55" i="1"/>
  <c r="F41" i="1"/>
  <c r="F40" i="1"/>
  <c r="F6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1" i="1"/>
  <c r="F32" i="1"/>
  <c r="F33" i="1"/>
  <c r="F35" i="1"/>
  <c r="F36" i="1"/>
  <c r="F37" i="1"/>
  <c r="E25" i="1"/>
  <c r="E15" i="1"/>
  <c r="F12" i="12"/>
  <c r="D20" i="1"/>
  <c r="D23" i="1"/>
  <c r="D21" i="1"/>
  <c r="D19" i="1"/>
  <c r="D17" i="1"/>
  <c r="D13" i="1"/>
  <c r="D11" i="1"/>
  <c r="D10" i="1"/>
  <c r="D12" i="12"/>
  <c r="D7" i="1"/>
  <c r="D8" i="1" s="1"/>
  <c r="D12" i="1"/>
  <c r="D26" i="1"/>
  <c r="D38" i="1"/>
  <c r="D54" i="1"/>
  <c r="D49" i="1"/>
  <c r="D41" i="1"/>
  <c r="D39" i="1" l="1"/>
  <c r="D43" i="1" s="1"/>
  <c r="F7" i="1"/>
  <c r="F13" i="1"/>
  <c r="F12" i="1"/>
  <c r="F10" i="1"/>
  <c r="F14" i="1"/>
  <c r="E54" i="1"/>
  <c r="C54" i="1"/>
  <c r="E49" i="1"/>
  <c r="C49" i="1"/>
  <c r="E41" i="1"/>
  <c r="C41" i="1"/>
  <c r="E39" i="1"/>
  <c r="C56" i="1" l="1"/>
  <c r="F49" i="1"/>
  <c r="D56" i="1"/>
  <c r="F11" i="2" s="1"/>
  <c r="E8" i="1"/>
  <c r="E43" i="1" s="1"/>
  <c r="E11" i="2"/>
  <c r="E56" i="1"/>
  <c r="F56" i="1" l="1"/>
  <c r="G11" i="2"/>
  <c r="F6" i="2"/>
  <c r="C39" i="1"/>
  <c r="F9" i="1"/>
  <c r="C8" i="1"/>
  <c r="D14" i="12"/>
  <c r="D16" i="12" s="1"/>
  <c r="F12" i="2" s="1"/>
  <c r="F13" i="2" s="1"/>
  <c r="E14" i="12"/>
  <c r="C14" i="12"/>
  <c r="C16" i="12" s="1"/>
  <c r="E12" i="2" s="1"/>
  <c r="E13" i="2" s="1"/>
  <c r="E7" i="12"/>
  <c r="D7" i="12"/>
  <c r="E16" i="12" l="1"/>
  <c r="F14" i="12"/>
  <c r="H11" i="2"/>
  <c r="F39" i="1"/>
  <c r="C43" i="1"/>
  <c r="E6" i="2" s="1"/>
  <c r="F8" i="1"/>
  <c r="F4" i="1"/>
  <c r="G6" i="2"/>
  <c r="H6" i="2" s="1"/>
  <c r="G12" i="2" l="1"/>
  <c r="G13" i="2" s="1"/>
  <c r="H13" i="2" s="1"/>
  <c r="F16" i="12"/>
  <c r="F43" i="1"/>
  <c r="C7" i="12" l="1"/>
  <c r="G7" i="2" l="1"/>
  <c r="E7" i="2" l="1"/>
  <c r="F7" i="2" l="1"/>
  <c r="H7" i="2" s="1"/>
</calcChain>
</file>

<file path=xl/sharedStrings.xml><?xml version="1.0" encoding="utf-8"?>
<sst xmlns="http://schemas.openxmlformats.org/spreadsheetml/2006/main" count="128" uniqueCount="103">
  <si>
    <t>K1101</t>
  </si>
  <si>
    <t>Megnevezés</t>
  </si>
  <si>
    <t>Eredeti ei.</t>
  </si>
  <si>
    <t xml:space="preserve">Módosított ei. </t>
  </si>
  <si>
    <t>Teljesítés</t>
  </si>
  <si>
    <t>Teljesítés %-a</t>
  </si>
  <si>
    <t>K1</t>
  </si>
  <si>
    <t>Személyi juttatások összesen</t>
  </si>
  <si>
    <t>K2</t>
  </si>
  <si>
    <t>Munkaadót terhelő járulékok és szociális hj. adó</t>
  </si>
  <si>
    <t>KIADÁSOK</t>
  </si>
  <si>
    <t>K312</t>
  </si>
  <si>
    <t>K321</t>
  </si>
  <si>
    <t>K322</t>
  </si>
  <si>
    <t>K334</t>
  </si>
  <si>
    <t>K336</t>
  </si>
  <si>
    <t>K337</t>
  </si>
  <si>
    <t>K341</t>
  </si>
  <si>
    <t>K351</t>
  </si>
  <si>
    <t>Műk. c. előzetesen felszámított Áfa</t>
  </si>
  <si>
    <t>K355</t>
  </si>
  <si>
    <t>K3</t>
  </si>
  <si>
    <t>Dologi kiadások összesen:</t>
  </si>
  <si>
    <t>KIADÁSOK MINDÖSSZESEN:</t>
  </si>
  <si>
    <t>BEVÉTELEK</t>
  </si>
  <si>
    <t>Kormányzati funkció</t>
  </si>
  <si>
    <t>018030</t>
  </si>
  <si>
    <t>Támogatási célú finanszírozási műveletek</t>
  </si>
  <si>
    <t xml:space="preserve"> Eredeti előirányzat</t>
  </si>
  <si>
    <t>Módosított előirányzat</t>
  </si>
  <si>
    <t>BEVÉTELEK MINDÖSSZESEN:</t>
  </si>
  <si>
    <t>K3311</t>
  </si>
  <si>
    <t>B406</t>
  </si>
  <si>
    <t>Kiszámlázott Áfa</t>
  </si>
  <si>
    <t>K311</t>
  </si>
  <si>
    <t>Kiadások összesen:</t>
  </si>
  <si>
    <t>Bevételek összesen:</t>
  </si>
  <si>
    <t>K1109</t>
  </si>
  <si>
    <t>Közlekedési költségtérítés</t>
  </si>
  <si>
    <t>B8131</t>
  </si>
  <si>
    <t>Előző évi költségv. maradvány igénybevétele</t>
  </si>
  <si>
    <t>B816</t>
  </si>
  <si>
    <t>Központi, irányító szervi támogatás</t>
  </si>
  <si>
    <t>B8</t>
  </si>
  <si>
    <t>Finanszírozási bevételek</t>
  </si>
  <si>
    <t>Irodaszer, nyomtatvány beszerzés</t>
  </si>
  <si>
    <t>B402</t>
  </si>
  <si>
    <t>B408</t>
  </si>
  <si>
    <t>Kamatbevételek</t>
  </si>
  <si>
    <t>B411</t>
  </si>
  <si>
    <t>B4</t>
  </si>
  <si>
    <t>Működési bevételek</t>
  </si>
  <si>
    <t xml:space="preserve"> </t>
  </si>
  <si>
    <t>B16</t>
  </si>
  <si>
    <t>Jánoshalmi Egészségközpont</t>
  </si>
  <si>
    <t>072210</t>
  </si>
  <si>
    <t>Járóbetegek gyógyító szakellátása</t>
  </si>
  <si>
    <t>Illetmények</t>
  </si>
  <si>
    <t>Gyógyszer, vegyszer</t>
  </si>
  <si>
    <t>Tű, fecskendő, kötszer, vizsgálati anyagok stb.</t>
  </si>
  <si>
    <t>Takarító- és tisztítószer</t>
  </si>
  <si>
    <t>Orvosi informatikai rendszer</t>
  </si>
  <si>
    <t>K333</t>
  </si>
  <si>
    <t>Helyiségbérleti díj Eü. Központ Kft. épületében</t>
  </si>
  <si>
    <t>Ügyvédi díj</t>
  </si>
  <si>
    <t>Közreműködő orvosok megbízási díja</t>
  </si>
  <si>
    <t>Infekciókontroll</t>
  </si>
  <si>
    <t>Utiköltség átalány</t>
  </si>
  <si>
    <t>NEAK támogatás bevétele</t>
  </si>
  <si>
    <t>B1</t>
  </si>
  <si>
    <t>Műk. c. támogatások ÁH-on belülről összesen</t>
  </si>
  <si>
    <t>K1113</t>
  </si>
  <si>
    <t>Foglalkoztatottak egyéb személyi juttatásai</t>
  </si>
  <si>
    <t>Pénzügyi, befektetési szolg. díjak (bank költség)</t>
  </si>
  <si>
    <t>B65</t>
  </si>
  <si>
    <t>Eü-i Alapítványi támogatás</t>
  </si>
  <si>
    <t>K1106</t>
  </si>
  <si>
    <t>Jubileumi jutalom</t>
  </si>
  <si>
    <r>
      <t xml:space="preserve">Rendszergazdai feladatok </t>
    </r>
    <r>
      <rPr>
        <sz val="9"/>
        <color theme="4" tint="0.39997558519241921"/>
        <rFont val="Arial CE"/>
        <charset val="238"/>
      </rPr>
      <t>(közv. szolg.)</t>
    </r>
  </si>
  <si>
    <r>
      <t xml:space="preserve">Mobiltelefon </t>
    </r>
    <r>
      <rPr>
        <sz val="10"/>
        <color theme="4" tint="0.39997558519241921"/>
        <rFont val="Arial CE"/>
        <charset val="238"/>
      </rPr>
      <t>(közv. szolg.)</t>
    </r>
  </si>
  <si>
    <t>Rtg karbantartás</t>
  </si>
  <si>
    <r>
      <t xml:space="preserve">Mosatás </t>
    </r>
    <r>
      <rPr>
        <sz val="10"/>
        <color theme="4" tint="0.39997558519241921"/>
        <rFont val="Arial CE"/>
        <charset val="238"/>
      </rPr>
      <t>(közv. szolg.)</t>
    </r>
  </si>
  <si>
    <r>
      <t xml:space="preserve">Sterilizálás </t>
    </r>
    <r>
      <rPr>
        <sz val="10"/>
        <color theme="4" tint="0.39997558519241921"/>
        <rFont val="Arial CE"/>
        <charset val="238"/>
      </rPr>
      <t>(közv. szolg.)</t>
    </r>
  </si>
  <si>
    <r>
      <t>Veszélyes hulladék elszállítás</t>
    </r>
    <r>
      <rPr>
        <sz val="10"/>
        <color theme="4" tint="0.39997558519241921"/>
        <rFont val="Arial CE"/>
        <charset val="238"/>
      </rPr>
      <t xml:space="preserve"> (közv. szolg.)</t>
    </r>
  </si>
  <si>
    <t xml:space="preserve"> 2025. év</t>
  </si>
  <si>
    <t>Internet díj</t>
  </si>
  <si>
    <t>Villamos energia szolg. díja (Áfa mentes)</t>
  </si>
  <si>
    <t>személygépjármű bérleti díj (Áfa-s)</t>
  </si>
  <si>
    <t>Környezetvédelmi szolg. (Juhász Zs. Áfa mentes)</t>
  </si>
  <si>
    <t>Teljesítés 2025.06.30-ig</t>
  </si>
  <si>
    <t>Biztosítási díj</t>
  </si>
  <si>
    <t>Informatikai szolgáltatás</t>
  </si>
  <si>
    <t>Bejövő számlák nyilvántartása</t>
  </si>
  <si>
    <t>Kiszállási díj, szállítási díj</t>
  </si>
  <si>
    <t>Egyéb (beszerzések szállítási díja, kiszerelési díj)</t>
  </si>
  <si>
    <t>Népegészségügyi feladatok ellátása</t>
  </si>
  <si>
    <t>Egyéb dologi kiadások (kerekítés, parkolás stb.)</t>
  </si>
  <si>
    <t>K63,67</t>
  </si>
  <si>
    <t xml:space="preserve">HP LaserJet Pro 3002dn Mono Lézernyomtató </t>
  </si>
  <si>
    <t>K6</t>
  </si>
  <si>
    <t>Beruházások összesen:</t>
  </si>
  <si>
    <t>Szolgáltatások díjbevétele (vizsgálati díj, bérleti díj)</t>
  </si>
  <si>
    <t>Egyéb működési bevételek (téves bef. visszaut., kerekítés)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</si>
</sst>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4" tint="0.39997558519241921"/>
      <name val="Arial CE"/>
      <charset val="238"/>
    </font>
    <font>
      <sz val="10"/>
      <color theme="4" tint="0.3999755851924192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55">
    <xf numFmtId="0" fontId="0" fillId="0" borderId="0" xfId="0"/>
    <xf numFmtId="49" fontId="2" fillId="0" borderId="0" xfId="0" applyNumberFormat="1" applyFont="1"/>
    <xf numFmtId="0" fontId="2" fillId="0" borderId="0" xfId="0" applyFon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10" fontId="0" fillId="0" borderId="0" xfId="0" applyNumberFormat="1"/>
    <xf numFmtId="10" fontId="1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/>
    </xf>
    <xf numFmtId="164" fontId="14" fillId="0" borderId="1" xfId="0" applyNumberFormat="1" applyFont="1" applyBorder="1" applyAlignment="1">
      <alignment vertical="center"/>
    </xf>
    <xf numFmtId="0" fontId="6" fillId="0" borderId="0" xfId="0" applyFont="1"/>
    <xf numFmtId="0" fontId="10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/>
    </xf>
    <xf numFmtId="0" fontId="0" fillId="0" borderId="0" xfId="0" applyAlignment="1">
      <alignment wrapText="1"/>
    </xf>
    <xf numFmtId="3" fontId="0" fillId="0" borderId="0" xfId="0" applyNumberFormat="1" applyAlignment="1">
      <alignment horizontal="right" vertical="center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0" fontId="13" fillId="0" borderId="1" xfId="0" applyNumberFormat="1" applyFont="1" applyBorder="1" applyAlignment="1">
      <alignment horizontal="right" vertical="center"/>
    </xf>
    <xf numFmtId="10" fontId="14" fillId="0" borderId="1" xfId="0" applyNumberFormat="1" applyFont="1" applyBorder="1" applyAlignment="1">
      <alignment horizontal="right" vertical="center"/>
    </xf>
    <xf numFmtId="10" fontId="14" fillId="0" borderId="5" xfId="0" applyNumberFormat="1" applyFont="1" applyBorder="1" applyAlignment="1">
      <alignment horizontal="right" vertical="center"/>
    </xf>
    <xf numFmtId="10" fontId="13" fillId="0" borderId="5" xfId="0" applyNumberFormat="1" applyFont="1" applyBorder="1" applyAlignment="1">
      <alignment horizontal="right" vertical="center"/>
    </xf>
    <xf numFmtId="10" fontId="14" fillId="0" borderId="0" xfId="0" applyNumberFormat="1" applyFont="1" applyAlignment="1">
      <alignment horizontal="right" vertical="center"/>
    </xf>
    <xf numFmtId="3" fontId="17" fillId="0" borderId="0" xfId="0" applyNumberFormat="1" applyFont="1"/>
    <xf numFmtId="0" fontId="18" fillId="0" borderId="0" xfId="0" applyFont="1"/>
    <xf numFmtId="10" fontId="4" fillId="0" borderId="0" xfId="0" applyNumberFormat="1" applyFont="1"/>
    <xf numFmtId="0" fontId="0" fillId="0" borderId="0" xfId="0" applyProtection="1">
      <protection locked="0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2011évikiadásokPHszakf" xfId="1" xr:uid="{DE337587-E6AE-495E-BF6D-146CB56D0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B7C71-AD94-4B6A-9809-A252D13DD988}">
  <dimension ref="B1:H16"/>
  <sheetViews>
    <sheetView tabSelected="1" zoomScaleNormal="100" workbookViewId="0">
      <selection activeCell="E57" sqref="E57"/>
    </sheetView>
  </sheetViews>
  <sheetFormatPr defaultRowHeight="15" x14ac:dyDescent="0.25"/>
  <cols>
    <col min="1" max="1" width="5.5703125" customWidth="1"/>
    <col min="2" max="2" width="2.5703125" style="28" customWidth="1"/>
    <col min="3" max="3" width="10.42578125" customWidth="1"/>
    <col min="4" max="4" width="82.85546875" customWidth="1"/>
    <col min="5" max="5" width="21.5703125" bestFit="1" customWidth="1"/>
    <col min="6" max="6" width="21.42578125" bestFit="1" customWidth="1"/>
    <col min="7" max="7" width="21.5703125" customWidth="1"/>
    <col min="8" max="8" width="18.7109375" bestFit="1" customWidth="1"/>
  </cols>
  <sheetData>
    <row r="1" spans="2:8" ht="20.25" x14ac:dyDescent="0.25">
      <c r="B1" s="50" t="s">
        <v>84</v>
      </c>
      <c r="C1" s="50"/>
      <c r="D1" s="50"/>
      <c r="E1" s="50"/>
      <c r="F1" s="50"/>
      <c r="G1" s="50"/>
    </row>
    <row r="2" spans="2:8" x14ac:dyDescent="0.25">
      <c r="B2" s="12"/>
      <c r="C2" s="13"/>
      <c r="D2" s="14"/>
      <c r="E2" s="15"/>
    </row>
    <row r="3" spans="2:8" ht="18" x14ac:dyDescent="0.25">
      <c r="B3" s="49" t="s">
        <v>54</v>
      </c>
      <c r="C3" s="49"/>
      <c r="D3" s="49"/>
      <c r="E3" s="49"/>
      <c r="F3" s="49"/>
      <c r="G3" s="49"/>
    </row>
    <row r="4" spans="2:8" x14ac:dyDescent="0.25">
      <c r="B4" s="16"/>
      <c r="C4" s="29" t="s">
        <v>10</v>
      </c>
      <c r="D4" s="17"/>
      <c r="E4" s="17"/>
    </row>
    <row r="5" spans="2:8" ht="22.5" x14ac:dyDescent="0.25">
      <c r="B5" s="18"/>
      <c r="C5" s="19" t="s">
        <v>25</v>
      </c>
      <c r="D5" s="20" t="s">
        <v>1</v>
      </c>
      <c r="E5" s="21" t="s">
        <v>28</v>
      </c>
      <c r="F5" s="21" t="s">
        <v>29</v>
      </c>
      <c r="G5" s="21" t="s">
        <v>89</v>
      </c>
      <c r="H5" s="21" t="s">
        <v>5</v>
      </c>
    </row>
    <row r="6" spans="2:8" x14ac:dyDescent="0.25">
      <c r="B6" s="22"/>
      <c r="C6" s="35" t="s">
        <v>55</v>
      </c>
      <c r="D6" s="24" t="s">
        <v>56</v>
      </c>
      <c r="E6" s="25">
        <f>'072210'!C43</f>
        <v>257664527</v>
      </c>
      <c r="F6" s="25">
        <f>'072210'!D43</f>
        <v>260372291</v>
      </c>
      <c r="G6" s="25">
        <f>'072210'!E43</f>
        <v>126005918</v>
      </c>
      <c r="H6" s="40">
        <f>G6/F6</f>
        <v>0.48394519061938124</v>
      </c>
    </row>
    <row r="7" spans="2:8" ht="15.75" x14ac:dyDescent="0.25">
      <c r="B7" s="51" t="s">
        <v>35</v>
      </c>
      <c r="C7" s="52"/>
      <c r="D7" s="52"/>
      <c r="E7" s="27">
        <f>SUM(E6:E6)</f>
        <v>257664527</v>
      </c>
      <c r="F7" s="27">
        <f>SUM(F6:F6)</f>
        <v>260372291</v>
      </c>
      <c r="G7" s="27">
        <f>SUM(G6:G6)</f>
        <v>126005918</v>
      </c>
      <c r="H7" s="41">
        <f t="shared" ref="H7" si="0">G7/F7</f>
        <v>0.48394519061938124</v>
      </c>
    </row>
    <row r="8" spans="2:8" ht="15.75" x14ac:dyDescent="0.25">
      <c r="B8" s="37"/>
      <c r="C8" s="38"/>
      <c r="D8" s="38"/>
      <c r="E8" s="39"/>
      <c r="H8" s="42"/>
    </row>
    <row r="9" spans="2:8" x14ac:dyDescent="0.25">
      <c r="B9" s="16"/>
      <c r="C9" s="29" t="s">
        <v>24</v>
      </c>
      <c r="D9" s="17"/>
      <c r="E9" s="17"/>
    </row>
    <row r="10" spans="2:8" ht="22.5" x14ac:dyDescent="0.25">
      <c r="B10" s="18"/>
      <c r="C10" s="19" t="s">
        <v>25</v>
      </c>
      <c r="D10" s="20" t="s">
        <v>1</v>
      </c>
      <c r="E10" s="21" t="s">
        <v>28</v>
      </c>
      <c r="F10" s="21" t="s">
        <v>29</v>
      </c>
      <c r="G10" s="21" t="s">
        <v>89</v>
      </c>
      <c r="H10" s="21" t="s">
        <v>5</v>
      </c>
    </row>
    <row r="11" spans="2:8" x14ac:dyDescent="0.25">
      <c r="B11" s="22"/>
      <c r="C11" s="35" t="s">
        <v>55</v>
      </c>
      <c r="D11" s="24" t="s">
        <v>56</v>
      </c>
      <c r="E11" s="25">
        <f>'072210'!C56</f>
        <v>257664527</v>
      </c>
      <c r="F11" s="25">
        <f>'072210'!D56</f>
        <v>257770787</v>
      </c>
      <c r="G11" s="25">
        <f>'072210'!E56</f>
        <v>118664870</v>
      </c>
      <c r="H11" s="40">
        <f>G11/F11</f>
        <v>0.46035034218210302</v>
      </c>
    </row>
    <row r="12" spans="2:8" x14ac:dyDescent="0.25">
      <c r="B12" s="22"/>
      <c r="C12" s="23" t="s">
        <v>26</v>
      </c>
      <c r="D12" s="26" t="s">
        <v>27</v>
      </c>
      <c r="E12" s="25">
        <f>'018030'!C16</f>
        <v>0</v>
      </c>
      <c r="F12" s="25">
        <f>'018030'!D16</f>
        <v>2601504</v>
      </c>
      <c r="G12" s="25">
        <f>'018030'!E16</f>
        <v>2601504</v>
      </c>
      <c r="H12" s="40"/>
    </row>
    <row r="13" spans="2:8" ht="15.75" x14ac:dyDescent="0.25">
      <c r="B13" s="51" t="s">
        <v>36</v>
      </c>
      <c r="C13" s="52"/>
      <c r="D13" s="52"/>
      <c r="E13" s="27">
        <f>SUM(E11:E12)</f>
        <v>257664527</v>
      </c>
      <c r="F13" s="27">
        <f>SUM(F11:F12)</f>
        <v>260372291</v>
      </c>
      <c r="G13" s="27">
        <f>SUM(G11:G12)</f>
        <v>121266374</v>
      </c>
      <c r="H13" s="41">
        <f t="shared" ref="H13" si="1">G13/F13</f>
        <v>0.46574223982996715</v>
      </c>
    </row>
    <row r="14" spans="2:8" x14ac:dyDescent="0.25">
      <c r="H14" s="43"/>
    </row>
    <row r="15" spans="2:8" ht="15.75" x14ac:dyDescent="0.25">
      <c r="H15" s="44"/>
    </row>
    <row r="16" spans="2:8" x14ac:dyDescent="0.25">
      <c r="D16" t="s">
        <v>52</v>
      </c>
    </row>
  </sheetData>
  <mergeCells count="4">
    <mergeCell ref="B3:G3"/>
    <mergeCell ref="B1:G1"/>
    <mergeCell ref="B13:D13"/>
    <mergeCell ref="B7:D7"/>
  </mergeCells>
  <pageMargins left="0.7" right="0.7" top="0.75" bottom="0.75" header="0.3" footer="0.3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8B59C-C8B4-4F20-92D6-4E56EAFD6183}">
  <dimension ref="A1:L450"/>
  <sheetViews>
    <sheetView zoomScaleNormal="100" workbookViewId="0">
      <selection activeCell="E9" sqref="E9"/>
    </sheetView>
  </sheetViews>
  <sheetFormatPr defaultRowHeight="15" x14ac:dyDescent="0.25"/>
  <cols>
    <col min="2" max="2" width="52.7109375" customWidth="1"/>
    <col min="3" max="3" width="13.28515625" bestFit="1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ht="53.25" customHeight="1" x14ac:dyDescent="0.25">
      <c r="A2" s="36" t="s">
        <v>55</v>
      </c>
      <c r="B2" s="53" t="s">
        <v>56</v>
      </c>
      <c r="C2" s="53"/>
      <c r="D2" s="53"/>
      <c r="E2" s="53"/>
      <c r="F2" s="53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0" t="s">
        <v>10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0</v>
      </c>
      <c r="B4" t="s">
        <v>57</v>
      </c>
      <c r="C4" s="3">
        <v>177571635</v>
      </c>
      <c r="D4" s="3">
        <v>177571635</v>
      </c>
      <c r="E4" s="32">
        <f>86569196+3978120</f>
        <v>90547316</v>
      </c>
      <c r="F4" s="10">
        <f>E4/D4</f>
        <v>0.50991993175036088</v>
      </c>
    </row>
    <row r="5" spans="1:12" x14ac:dyDescent="0.25">
      <c r="A5" t="s">
        <v>71</v>
      </c>
      <c r="B5" t="s">
        <v>72</v>
      </c>
      <c r="C5" s="3">
        <v>9000000</v>
      </c>
      <c r="D5" s="3">
        <v>9000000</v>
      </c>
      <c r="E5" s="32">
        <f>4935541+147959</f>
        <v>5083500</v>
      </c>
      <c r="F5" s="10">
        <f t="shared" ref="F5:F6" si="0">E5/D5</f>
        <v>0.5648333333333333</v>
      </c>
    </row>
    <row r="6" spans="1:12" x14ac:dyDescent="0.25">
      <c r="A6" t="s">
        <v>76</v>
      </c>
      <c r="B6" t="s">
        <v>77</v>
      </c>
      <c r="C6" s="3">
        <v>7437648</v>
      </c>
      <c r="D6" s="3">
        <v>7437648</v>
      </c>
      <c r="E6" s="32">
        <v>0</v>
      </c>
      <c r="F6" s="10">
        <f t="shared" si="0"/>
        <v>0</v>
      </c>
    </row>
    <row r="7" spans="1:12" x14ac:dyDescent="0.25">
      <c r="A7" t="s">
        <v>37</v>
      </c>
      <c r="B7" t="s">
        <v>38</v>
      </c>
      <c r="C7" s="3">
        <v>2520000</v>
      </c>
      <c r="D7" s="3">
        <f>2520000-500000</f>
        <v>2020000</v>
      </c>
      <c r="E7" s="3">
        <v>968037</v>
      </c>
      <c r="F7" s="10">
        <f t="shared" ref="F7" si="1">E7/D7</f>
        <v>0.47922623762376237</v>
      </c>
    </row>
    <row r="8" spans="1:12" s="4" customFormat="1" x14ac:dyDescent="0.25">
      <c r="A8" s="4" t="s">
        <v>6</v>
      </c>
      <c r="B8" s="4" t="s">
        <v>7</v>
      </c>
      <c r="C8" s="5">
        <f>SUM(C4:C7)</f>
        <v>196529283</v>
      </c>
      <c r="D8" s="5">
        <f>SUM(D4:D7)</f>
        <v>196029283</v>
      </c>
      <c r="E8" s="5">
        <f>SUM(E4:E7)</f>
        <v>96598853</v>
      </c>
      <c r="F8" s="11">
        <f t="shared" ref="F8:F40" si="2">E8/D8</f>
        <v>0.49277766832417585</v>
      </c>
    </row>
    <row r="9" spans="1:12" s="4" customFormat="1" x14ac:dyDescent="0.25">
      <c r="A9" s="4" t="s">
        <v>8</v>
      </c>
      <c r="B9" s="4" t="s">
        <v>9</v>
      </c>
      <c r="C9" s="5">
        <v>18677142</v>
      </c>
      <c r="D9" s="5">
        <v>18677142</v>
      </c>
      <c r="E9" s="5">
        <f>7615841+1505883</f>
        <v>9121724</v>
      </c>
      <c r="F9" s="11">
        <f t="shared" si="2"/>
        <v>0.48838971187347613</v>
      </c>
    </row>
    <row r="10" spans="1:12" x14ac:dyDescent="0.25">
      <c r="A10" t="s">
        <v>34</v>
      </c>
      <c r="B10" t="s">
        <v>58</v>
      </c>
      <c r="C10" s="3">
        <v>857143</v>
      </c>
      <c r="D10" s="3">
        <f>857143+150000</f>
        <v>1007143</v>
      </c>
      <c r="E10" s="3">
        <v>496034</v>
      </c>
      <c r="F10" s="10">
        <f t="shared" si="2"/>
        <v>0.49251595850837471</v>
      </c>
    </row>
    <row r="11" spans="1:12" x14ac:dyDescent="0.25">
      <c r="B11" t="s">
        <v>59</v>
      </c>
      <c r="C11" s="3">
        <v>1417323</v>
      </c>
      <c r="D11" s="3">
        <f>1417323+150000</f>
        <v>1567323</v>
      </c>
      <c r="E11" s="3">
        <f>747557+76395+75500+8042</f>
        <v>907494</v>
      </c>
      <c r="F11" s="10">
        <f t="shared" si="2"/>
        <v>0.57900892158157569</v>
      </c>
    </row>
    <row r="12" spans="1:12" x14ac:dyDescent="0.25">
      <c r="A12" t="s">
        <v>11</v>
      </c>
      <c r="B12" t="s">
        <v>45</v>
      </c>
      <c r="C12" s="3">
        <v>472441</v>
      </c>
      <c r="D12" s="3">
        <f>472441-88952</f>
        <v>383489</v>
      </c>
      <c r="E12" s="3">
        <v>0</v>
      </c>
      <c r="F12" s="10">
        <f t="shared" si="2"/>
        <v>0</v>
      </c>
    </row>
    <row r="13" spans="1:12" x14ac:dyDescent="0.25">
      <c r="B13" t="s">
        <v>60</v>
      </c>
      <c r="C13" s="3">
        <v>1093543</v>
      </c>
      <c r="D13" s="3">
        <f>1093543+88996</f>
        <v>1182539</v>
      </c>
      <c r="E13" s="3">
        <f>619201-76395-75500-8042</f>
        <v>459264</v>
      </c>
      <c r="F13" s="10">
        <f t="shared" si="2"/>
        <v>0.3883711234893733</v>
      </c>
    </row>
    <row r="14" spans="1:12" x14ac:dyDescent="0.25">
      <c r="A14" t="s">
        <v>12</v>
      </c>
      <c r="B14" t="s">
        <v>61</v>
      </c>
      <c r="C14" s="3">
        <v>2389322</v>
      </c>
      <c r="D14" s="3">
        <v>2389322</v>
      </c>
      <c r="E14" s="3">
        <v>1513238</v>
      </c>
      <c r="F14" s="10">
        <f t="shared" si="2"/>
        <v>0.63333364025443206</v>
      </c>
    </row>
    <row r="15" spans="1:12" x14ac:dyDescent="0.25">
      <c r="B15" t="s">
        <v>92</v>
      </c>
      <c r="C15" s="3">
        <v>0</v>
      </c>
      <c r="D15" s="3">
        <v>0</v>
      </c>
      <c r="E15" s="3">
        <f>5969+5969</f>
        <v>11938</v>
      </c>
      <c r="F15" s="10"/>
    </row>
    <row r="16" spans="1:12" x14ac:dyDescent="0.25">
      <c r="B16" t="s">
        <v>85</v>
      </c>
      <c r="C16" s="3">
        <v>171429</v>
      </c>
      <c r="D16" s="3">
        <v>171429</v>
      </c>
      <c r="E16" s="3">
        <v>71063</v>
      </c>
      <c r="F16" s="10">
        <f t="shared" si="2"/>
        <v>0.41453313033384082</v>
      </c>
    </row>
    <row r="17" spans="1:6" x14ac:dyDescent="0.25">
      <c r="B17" t="s">
        <v>91</v>
      </c>
      <c r="C17" s="3">
        <v>0</v>
      </c>
      <c r="D17" s="3">
        <f>393701+421908</f>
        <v>815609</v>
      </c>
      <c r="E17" s="3">
        <v>0</v>
      </c>
      <c r="F17" s="10">
        <f t="shared" si="2"/>
        <v>0</v>
      </c>
    </row>
    <row r="18" spans="1:6" x14ac:dyDescent="0.25">
      <c r="B18" s="33" t="s">
        <v>78</v>
      </c>
      <c r="C18" s="3">
        <v>963780</v>
      </c>
      <c r="D18" s="3">
        <v>963780</v>
      </c>
      <c r="E18" s="3">
        <v>402000</v>
      </c>
      <c r="F18" s="10">
        <f t="shared" si="2"/>
        <v>0.41710763867272616</v>
      </c>
    </row>
    <row r="19" spans="1:6" x14ac:dyDescent="0.25">
      <c r="A19" t="s">
        <v>13</v>
      </c>
      <c r="B19" s="34" t="s">
        <v>79</v>
      </c>
      <c r="C19" s="3">
        <v>330709</v>
      </c>
      <c r="D19" s="3">
        <f>330709+38812</f>
        <v>369521</v>
      </c>
      <c r="E19" s="3">
        <v>120813</v>
      </c>
      <c r="F19" s="10">
        <f t="shared" si="2"/>
        <v>0.32694488269949473</v>
      </c>
    </row>
    <row r="20" spans="1:6" x14ac:dyDescent="0.25">
      <c r="A20" t="s">
        <v>31</v>
      </c>
      <c r="B20" t="s">
        <v>86</v>
      </c>
      <c r="C20" s="3">
        <v>4065662</v>
      </c>
      <c r="D20" s="3">
        <f>4065662+488532</f>
        <v>4554194</v>
      </c>
      <c r="E20" s="3">
        <v>3345826</v>
      </c>
      <c r="F20" s="10">
        <f t="shared" si="2"/>
        <v>0.73466918624898281</v>
      </c>
    </row>
    <row r="21" spans="1:6" x14ac:dyDescent="0.25">
      <c r="A21" t="s">
        <v>62</v>
      </c>
      <c r="B21" t="s">
        <v>63</v>
      </c>
      <c r="C21" s="3">
        <v>7560000</v>
      </c>
      <c r="D21" s="3">
        <f>7560000+666803</f>
        <v>8226803</v>
      </c>
      <c r="E21" s="3">
        <v>3150000</v>
      </c>
      <c r="F21" s="10">
        <f t="shared" si="2"/>
        <v>0.38289478914227071</v>
      </c>
    </row>
    <row r="22" spans="1:6" x14ac:dyDescent="0.25">
      <c r="B22" t="s">
        <v>87</v>
      </c>
      <c r="C22" s="3">
        <v>236220</v>
      </c>
      <c r="D22" s="3">
        <v>236220</v>
      </c>
      <c r="E22" s="3">
        <v>111591</v>
      </c>
      <c r="F22" s="10">
        <f t="shared" si="2"/>
        <v>0.47240284480568961</v>
      </c>
    </row>
    <row r="23" spans="1:6" x14ac:dyDescent="0.25">
      <c r="A23" t="s">
        <v>14</v>
      </c>
      <c r="B23" s="34" t="s">
        <v>80</v>
      </c>
      <c r="C23" s="3">
        <v>2834646</v>
      </c>
      <c r="D23" s="3">
        <f>2834646+289000</f>
        <v>3123646</v>
      </c>
      <c r="E23" s="3">
        <v>289000</v>
      </c>
      <c r="F23" s="10">
        <f t="shared" si="2"/>
        <v>9.2520087103340129E-2</v>
      </c>
    </row>
    <row r="24" spans="1:6" x14ac:dyDescent="0.25">
      <c r="A24" t="s">
        <v>15</v>
      </c>
      <c r="B24" s="34" t="s">
        <v>64</v>
      </c>
      <c r="C24" s="3">
        <v>1416000</v>
      </c>
      <c r="D24" s="3">
        <v>1416000</v>
      </c>
      <c r="E24" s="3">
        <v>708000</v>
      </c>
      <c r="F24" s="10">
        <f t="shared" si="2"/>
        <v>0.5</v>
      </c>
    </row>
    <row r="25" spans="1:6" x14ac:dyDescent="0.25">
      <c r="B25" s="34" t="s">
        <v>65</v>
      </c>
      <c r="C25" s="3">
        <v>10080000</v>
      </c>
      <c r="D25" s="3">
        <v>10080000</v>
      </c>
      <c r="E25" s="3">
        <f>4297610+147878</f>
        <v>4445488</v>
      </c>
      <c r="F25" s="10">
        <f t="shared" si="2"/>
        <v>0.44102063492063492</v>
      </c>
    </row>
    <row r="26" spans="1:6" x14ac:dyDescent="0.25">
      <c r="A26" t="s">
        <v>16</v>
      </c>
      <c r="B26" s="34" t="s">
        <v>81</v>
      </c>
      <c r="C26" s="3">
        <v>1456064</v>
      </c>
      <c r="D26" s="3">
        <f>1456064-10000</f>
        <v>1446064</v>
      </c>
      <c r="E26" s="45">
        <v>487160</v>
      </c>
      <c r="F26" s="10">
        <f t="shared" si="2"/>
        <v>0.33688688744066653</v>
      </c>
    </row>
    <row r="27" spans="1:6" x14ac:dyDescent="0.25">
      <c r="B27" s="34" t="s">
        <v>82</v>
      </c>
      <c r="C27" s="3">
        <v>1716535</v>
      </c>
      <c r="D27" s="3">
        <v>1716535</v>
      </c>
      <c r="E27" s="45">
        <v>819078</v>
      </c>
      <c r="F27" s="10">
        <f t="shared" si="2"/>
        <v>0.47716941396476042</v>
      </c>
    </row>
    <row r="28" spans="1:6" x14ac:dyDescent="0.25">
      <c r="B28" s="34" t="s">
        <v>83</v>
      </c>
      <c r="C28" s="3">
        <v>566929</v>
      </c>
      <c r="D28" s="3">
        <v>566929</v>
      </c>
      <c r="E28" s="45">
        <v>223650</v>
      </c>
      <c r="F28" s="10">
        <f t="shared" si="2"/>
        <v>0.39449384314437963</v>
      </c>
    </row>
    <row r="29" spans="1:6" x14ac:dyDescent="0.25">
      <c r="B29" s="34" t="s">
        <v>93</v>
      </c>
      <c r="C29" s="3">
        <v>0</v>
      </c>
      <c r="D29" s="3">
        <v>0</v>
      </c>
      <c r="E29" s="45">
        <v>171880</v>
      </c>
      <c r="F29" s="10"/>
    </row>
    <row r="30" spans="1:6" x14ac:dyDescent="0.25">
      <c r="B30" s="34" t="s">
        <v>95</v>
      </c>
      <c r="C30" s="3">
        <v>0</v>
      </c>
      <c r="D30" s="3">
        <v>0</v>
      </c>
      <c r="E30" s="45">
        <v>120000</v>
      </c>
      <c r="F30" s="10"/>
    </row>
    <row r="31" spans="1:6" x14ac:dyDescent="0.25">
      <c r="B31" s="34" t="s">
        <v>66</v>
      </c>
      <c r="C31" s="3">
        <v>94488</v>
      </c>
      <c r="D31" s="3">
        <v>94488</v>
      </c>
      <c r="E31" s="45">
        <v>0</v>
      </c>
      <c r="F31" s="10">
        <f t="shared" si="2"/>
        <v>0</v>
      </c>
    </row>
    <row r="32" spans="1:6" x14ac:dyDescent="0.25">
      <c r="B32" s="34" t="s">
        <v>88</v>
      </c>
      <c r="C32" s="3">
        <v>300000</v>
      </c>
      <c r="D32" s="3">
        <v>300000</v>
      </c>
      <c r="E32" s="45">
        <v>150000</v>
      </c>
      <c r="F32" s="10">
        <f t="shared" si="2"/>
        <v>0.5</v>
      </c>
    </row>
    <row r="33" spans="1:6" x14ac:dyDescent="0.25">
      <c r="B33" s="34" t="s">
        <v>90</v>
      </c>
      <c r="C33" s="3">
        <v>0</v>
      </c>
      <c r="D33" s="3">
        <v>112969</v>
      </c>
      <c r="E33" s="45">
        <v>225938</v>
      </c>
      <c r="F33" s="10">
        <f t="shared" si="2"/>
        <v>2</v>
      </c>
    </row>
    <row r="34" spans="1:6" x14ac:dyDescent="0.25">
      <c r="B34" s="34" t="s">
        <v>94</v>
      </c>
      <c r="C34" s="3">
        <v>0</v>
      </c>
      <c r="D34" s="3">
        <v>1165</v>
      </c>
      <c r="E34" s="45">
        <f>1165+180+1193+1813</f>
        <v>4351</v>
      </c>
      <c r="F34" s="10">
        <f t="shared" si="2"/>
        <v>3.7347639484978541</v>
      </c>
    </row>
    <row r="35" spans="1:6" x14ac:dyDescent="0.25">
      <c r="B35" s="34" t="s">
        <v>73</v>
      </c>
      <c r="C35" s="3">
        <v>480000</v>
      </c>
      <c r="D35" s="3">
        <v>480000</v>
      </c>
      <c r="E35" s="45">
        <v>444184</v>
      </c>
      <c r="F35" s="10">
        <f t="shared" si="2"/>
        <v>0.92538333333333334</v>
      </c>
    </row>
    <row r="36" spans="1:6" x14ac:dyDescent="0.25">
      <c r="A36" t="s">
        <v>17</v>
      </c>
      <c r="B36" t="s">
        <v>67</v>
      </c>
      <c r="C36" s="3">
        <v>240000</v>
      </c>
      <c r="D36" s="3">
        <v>240000</v>
      </c>
      <c r="E36" s="3">
        <v>0</v>
      </c>
      <c r="F36" s="10">
        <f t="shared" si="2"/>
        <v>0</v>
      </c>
    </row>
    <row r="37" spans="1:6" x14ac:dyDescent="0.25">
      <c r="A37" t="s">
        <v>18</v>
      </c>
      <c r="B37" t="s">
        <v>19</v>
      </c>
      <c r="C37" s="3">
        <v>3715868</v>
      </c>
      <c r="D37" s="3">
        <v>4105918</v>
      </c>
      <c r="E37" s="3">
        <v>1502554</v>
      </c>
      <c r="F37" s="10">
        <f t="shared" si="2"/>
        <v>0.36594837013306158</v>
      </c>
    </row>
    <row r="38" spans="1:6" x14ac:dyDescent="0.25">
      <c r="A38" t="s">
        <v>20</v>
      </c>
      <c r="B38" t="s">
        <v>96</v>
      </c>
      <c r="C38" s="3">
        <v>0</v>
      </c>
      <c r="D38" s="3">
        <f>10000</f>
        <v>10000</v>
      </c>
      <c r="E38" s="3">
        <f>3023-1193-1813</f>
        <v>17</v>
      </c>
      <c r="F38" s="10">
        <f t="shared" si="2"/>
        <v>1.6999999999999999E-3</v>
      </c>
    </row>
    <row r="39" spans="1:6" s="4" customFormat="1" x14ac:dyDescent="0.25">
      <c r="A39" s="4" t="s">
        <v>21</v>
      </c>
      <c r="B39" s="4" t="s">
        <v>22</v>
      </c>
      <c r="C39" s="5">
        <f>SUM(C10:C38)</f>
        <v>42458102</v>
      </c>
      <c r="D39" s="5">
        <f>SUM(D10:D38)</f>
        <v>45561086</v>
      </c>
      <c r="E39" s="5">
        <f>SUM(E10:E38)</f>
        <v>20180561</v>
      </c>
      <c r="F39" s="11">
        <f t="shared" ref="F39:F41" si="3">E39/D39</f>
        <v>0.44293415218416876</v>
      </c>
    </row>
    <row r="40" spans="1:6" x14ac:dyDescent="0.25">
      <c r="A40" t="s">
        <v>97</v>
      </c>
      <c r="B40" s="48" t="s">
        <v>98</v>
      </c>
      <c r="C40" s="3">
        <v>0</v>
      </c>
      <c r="D40" s="3">
        <v>104780</v>
      </c>
      <c r="E40" s="3">
        <v>104780</v>
      </c>
      <c r="F40" s="10">
        <f t="shared" si="2"/>
        <v>1</v>
      </c>
    </row>
    <row r="41" spans="1:6" s="4" customFormat="1" x14ac:dyDescent="0.25">
      <c r="A41" s="4" t="s">
        <v>99</v>
      </c>
      <c r="B41" s="4" t="s">
        <v>100</v>
      </c>
      <c r="C41" s="5">
        <f>SUM(C40:C40)</f>
        <v>0</v>
      </c>
      <c r="D41" s="5">
        <f>SUM(D40:D40)</f>
        <v>104780</v>
      </c>
      <c r="E41" s="5">
        <f>SUM(E40:E40)</f>
        <v>104780</v>
      </c>
      <c r="F41" s="11">
        <f t="shared" si="3"/>
        <v>1</v>
      </c>
    </row>
    <row r="42" spans="1:6" x14ac:dyDescent="0.25">
      <c r="B42" s="4"/>
      <c r="C42" s="3"/>
      <c r="D42" s="3"/>
      <c r="E42" s="3"/>
      <c r="F42" s="11"/>
    </row>
    <row r="43" spans="1:6" s="8" customFormat="1" ht="15.75" x14ac:dyDescent="0.25">
      <c r="B43" s="8" t="s">
        <v>23</v>
      </c>
      <c r="C43" s="9">
        <f>C41+C39+C9+C8</f>
        <v>257664527</v>
      </c>
      <c r="D43" s="9">
        <f>D41+D39+D9+D8</f>
        <v>260372291</v>
      </c>
      <c r="E43" s="9">
        <f>E41+E39+E9+E8</f>
        <v>126005918</v>
      </c>
      <c r="F43" s="11">
        <f t="shared" ref="F43" si="4">E43/D43</f>
        <v>0.48394519061938124</v>
      </c>
    </row>
    <row r="44" spans="1:6" x14ac:dyDescent="0.25">
      <c r="C44" s="3"/>
      <c r="D44" s="3"/>
      <c r="E44" s="3"/>
    </row>
    <row r="45" spans="1:6" x14ac:dyDescent="0.25">
      <c r="C45" s="3"/>
      <c r="D45" s="3"/>
      <c r="E45" s="3"/>
    </row>
    <row r="46" spans="1:6" x14ac:dyDescent="0.25">
      <c r="C46" s="3"/>
      <c r="D46" s="3"/>
      <c r="E46" s="3"/>
    </row>
    <row r="47" spans="1:6" ht="15.75" x14ac:dyDescent="0.25">
      <c r="B47" s="30" t="s">
        <v>24</v>
      </c>
      <c r="C47" s="3"/>
      <c r="D47" s="3"/>
      <c r="E47" s="3"/>
    </row>
    <row r="48" spans="1:6" x14ac:dyDescent="0.25">
      <c r="A48" t="s">
        <v>53</v>
      </c>
      <c r="B48" t="s">
        <v>68</v>
      </c>
      <c r="C48" s="3">
        <v>230217853</v>
      </c>
      <c r="D48" s="3">
        <v>230324113</v>
      </c>
      <c r="E48" s="3">
        <f>106913541+11544490</f>
        <v>118458031</v>
      </c>
      <c r="F48" s="10">
        <f t="shared" ref="F48:F49" si="5">E48/D48</f>
        <v>0.51431015822472748</v>
      </c>
    </row>
    <row r="49" spans="1:6" s="4" customFormat="1" x14ac:dyDescent="0.25">
      <c r="A49" s="4" t="s">
        <v>69</v>
      </c>
      <c r="B49" s="4" t="s">
        <v>70</v>
      </c>
      <c r="C49" s="5">
        <f>SUM(C48:C48)</f>
        <v>230217853</v>
      </c>
      <c r="D49" s="5">
        <f>SUM(D48:D48)</f>
        <v>230324113</v>
      </c>
      <c r="E49" s="5">
        <f>SUM(E48:E48)</f>
        <v>118458031</v>
      </c>
      <c r="F49" s="10">
        <f t="shared" si="5"/>
        <v>0.51431015822472748</v>
      </c>
    </row>
    <row r="50" spans="1:6" x14ac:dyDescent="0.25">
      <c r="A50" t="s">
        <v>46</v>
      </c>
      <c r="B50" t="s">
        <v>101</v>
      </c>
      <c r="C50" s="3">
        <v>0</v>
      </c>
      <c r="D50" s="3">
        <v>0</v>
      </c>
      <c r="E50" s="3">
        <v>171836</v>
      </c>
      <c r="F50" s="10"/>
    </row>
    <row r="51" spans="1:6" x14ac:dyDescent="0.25">
      <c r="A51" t="s">
        <v>32</v>
      </c>
      <c r="B51" t="s">
        <v>33</v>
      </c>
      <c r="C51" s="3">
        <v>0</v>
      </c>
      <c r="D51" s="3">
        <v>0</v>
      </c>
      <c r="E51" s="3"/>
      <c r="F51" s="10"/>
    </row>
    <row r="52" spans="1:6" x14ac:dyDescent="0.25">
      <c r="A52" t="s">
        <v>47</v>
      </c>
      <c r="B52" t="s">
        <v>48</v>
      </c>
      <c r="C52" s="3">
        <v>0</v>
      </c>
      <c r="D52" s="3">
        <v>0</v>
      </c>
      <c r="E52" s="3">
        <v>1</v>
      </c>
      <c r="F52" s="10"/>
    </row>
    <row r="53" spans="1:6" x14ac:dyDescent="0.25">
      <c r="A53" t="s">
        <v>49</v>
      </c>
      <c r="B53" t="s">
        <v>102</v>
      </c>
      <c r="C53" s="3">
        <v>0</v>
      </c>
      <c r="D53" s="3">
        <v>0</v>
      </c>
      <c r="E53" s="3">
        <v>35002</v>
      </c>
      <c r="F53" s="10"/>
    </row>
    <row r="54" spans="1:6" s="4" customFormat="1" x14ac:dyDescent="0.25">
      <c r="A54" s="4" t="s">
        <v>50</v>
      </c>
      <c r="B54" s="4" t="s">
        <v>51</v>
      </c>
      <c r="C54" s="5">
        <f>SUM(C50:C53)</f>
        <v>0</v>
      </c>
      <c r="D54" s="5">
        <f>SUM(D50:D53)</f>
        <v>0</v>
      </c>
      <c r="E54" s="5">
        <f>SUM(E50:E53)</f>
        <v>206839</v>
      </c>
      <c r="F54" s="11"/>
    </row>
    <row r="55" spans="1:6" x14ac:dyDescent="0.25">
      <c r="A55" s="4" t="s">
        <v>74</v>
      </c>
      <c r="B55" s="4" t="s">
        <v>75</v>
      </c>
      <c r="C55" s="5">
        <v>27446674</v>
      </c>
      <c r="D55" s="5">
        <v>27446674</v>
      </c>
      <c r="E55" s="5">
        <v>0</v>
      </c>
      <c r="F55" s="11">
        <f t="shared" ref="F55" si="6">E55/D55</f>
        <v>0</v>
      </c>
    </row>
    <row r="56" spans="1:6" s="8" customFormat="1" ht="15.75" x14ac:dyDescent="0.25">
      <c r="B56" s="8" t="s">
        <v>30</v>
      </c>
      <c r="C56" s="9">
        <f>SUM(C54,C55,C49)</f>
        <v>257664527</v>
      </c>
      <c r="D56" s="9">
        <f>SUM(D54,D49,D55)</f>
        <v>257770787</v>
      </c>
      <c r="E56" s="9">
        <f>SUM(E54,E49)</f>
        <v>118664870</v>
      </c>
      <c r="F56" s="11">
        <f t="shared" ref="F56" si="7">E56/D56</f>
        <v>0.46035034218210302</v>
      </c>
    </row>
    <row r="57" spans="1:6" x14ac:dyDescent="0.25">
      <c r="C57" s="3"/>
      <c r="D57" s="3"/>
      <c r="E57" s="3"/>
    </row>
    <row r="58" spans="1:6" x14ac:dyDescent="0.25">
      <c r="C58" s="3"/>
      <c r="D58" s="3"/>
      <c r="E58" s="3"/>
    </row>
    <row r="59" spans="1:6" x14ac:dyDescent="0.25">
      <c r="C59" s="3"/>
      <c r="D59" s="3"/>
      <c r="E59" s="3"/>
    </row>
    <row r="60" spans="1:6" x14ac:dyDescent="0.25">
      <c r="C60" s="3"/>
      <c r="D60" s="3"/>
      <c r="E60" s="3"/>
    </row>
    <row r="61" spans="1:6" x14ac:dyDescent="0.25">
      <c r="C61" s="3"/>
      <c r="D61" s="3"/>
      <c r="E61" s="3"/>
    </row>
    <row r="62" spans="1:6" x14ac:dyDescent="0.25">
      <c r="C62" s="3"/>
      <c r="D62" s="3"/>
      <c r="E62" s="3"/>
    </row>
    <row r="63" spans="1:6" x14ac:dyDescent="0.25">
      <c r="C63" s="3"/>
      <c r="D63" s="3"/>
      <c r="E63" s="3"/>
    </row>
    <row r="64" spans="1:6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</sheetData>
  <mergeCells count="1">
    <mergeCell ref="B2:F2"/>
  </mergeCells>
  <pageMargins left="0.7" right="0.7" top="0.75" bottom="0.75" header="0.3" footer="0.3"/>
  <pageSetup paperSize="9" scale="64" orientation="portrait" r:id="rId1"/>
  <rowBreaks count="1" manualBreakCount="1">
    <brk id="4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29E3A-424E-4B6A-AE0B-70D3F0F178F8}">
  <dimension ref="A1:L443"/>
  <sheetViews>
    <sheetView zoomScaleNormal="100" workbookViewId="0">
      <selection activeCell="F30" sqref="F30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x14ac:dyDescent="0.25">
      <c r="A2" s="1" t="s">
        <v>26</v>
      </c>
      <c r="B2" s="54" t="s">
        <v>27</v>
      </c>
      <c r="C2" s="54"/>
      <c r="D2" s="54"/>
      <c r="E2" s="54"/>
      <c r="F2" s="54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0" t="s">
        <v>10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C4" s="3"/>
      <c r="D4" s="3"/>
      <c r="E4" s="3"/>
      <c r="F4" s="10"/>
    </row>
    <row r="5" spans="1:12" s="4" customFormat="1" x14ac:dyDescent="0.25">
      <c r="C5" s="5"/>
      <c r="D5" s="5"/>
      <c r="E5" s="5"/>
      <c r="F5" s="11"/>
    </row>
    <row r="6" spans="1:12" x14ac:dyDescent="0.25">
      <c r="B6" s="4"/>
      <c r="C6" s="3"/>
      <c r="D6" s="3"/>
      <c r="E6" s="3"/>
      <c r="F6" s="11"/>
    </row>
    <row r="7" spans="1:12" s="8" customFormat="1" ht="15.75" x14ac:dyDescent="0.25">
      <c r="B7" s="8" t="s">
        <v>23</v>
      </c>
      <c r="C7" s="9">
        <f>C5</f>
        <v>0</v>
      </c>
      <c r="D7" s="9">
        <f>D5</f>
        <v>0</v>
      </c>
      <c r="E7" s="9">
        <f>E5</f>
        <v>0</v>
      </c>
      <c r="F7" s="11"/>
    </row>
    <row r="8" spans="1:12" x14ac:dyDescent="0.25">
      <c r="C8" s="3"/>
      <c r="D8" s="3"/>
      <c r="E8" s="3"/>
    </row>
    <row r="9" spans="1:12" x14ac:dyDescent="0.25">
      <c r="C9" s="3"/>
      <c r="D9" s="3"/>
      <c r="E9" s="3"/>
    </row>
    <row r="10" spans="1:12" ht="15.75" x14ac:dyDescent="0.25">
      <c r="B10" s="30" t="s">
        <v>24</v>
      </c>
      <c r="C10" s="3"/>
      <c r="D10" s="3"/>
      <c r="E10" s="3"/>
    </row>
    <row r="11" spans="1:12" x14ac:dyDescent="0.25">
      <c r="C11" s="3"/>
      <c r="D11" s="3"/>
      <c r="E11" s="3"/>
      <c r="F11" s="11"/>
    </row>
    <row r="12" spans="1:12" x14ac:dyDescent="0.25">
      <c r="A12" t="s">
        <v>39</v>
      </c>
      <c r="B12" t="s">
        <v>40</v>
      </c>
      <c r="C12" s="3"/>
      <c r="D12" s="3">
        <f>2601504</f>
        <v>2601504</v>
      </c>
      <c r="E12" s="3">
        <v>2601504</v>
      </c>
      <c r="F12" s="10">
        <f t="shared" ref="F12:F16" si="0">E12/D12</f>
        <v>1</v>
      </c>
    </row>
    <row r="13" spans="1:12" x14ac:dyDescent="0.25">
      <c r="A13" t="s">
        <v>41</v>
      </c>
      <c r="B13" s="31" t="s">
        <v>42</v>
      </c>
      <c r="C13" s="3"/>
      <c r="D13" s="3"/>
      <c r="E13" s="3"/>
      <c r="F13" s="10"/>
      <c r="G13" s="46"/>
    </row>
    <row r="14" spans="1:12" s="4" customFormat="1" x14ac:dyDescent="0.25">
      <c r="A14" s="4" t="s">
        <v>43</v>
      </c>
      <c r="B14" s="4" t="s">
        <v>44</v>
      </c>
      <c r="C14" s="5">
        <f>SUM(C12:C13)</f>
        <v>0</v>
      </c>
      <c r="D14" s="5">
        <f>SUM(D12:D13)</f>
        <v>2601504</v>
      </c>
      <c r="E14" s="5">
        <f>SUM(E12:E13)</f>
        <v>2601504</v>
      </c>
      <c r="F14" s="11">
        <f t="shared" si="0"/>
        <v>1</v>
      </c>
    </row>
    <row r="15" spans="1:12" x14ac:dyDescent="0.25">
      <c r="C15" s="3"/>
      <c r="D15" s="3"/>
      <c r="E15" s="3"/>
      <c r="F15" s="10"/>
    </row>
    <row r="16" spans="1:12" s="8" customFormat="1" ht="15.75" x14ac:dyDescent="0.25">
      <c r="B16" s="8" t="s">
        <v>30</v>
      </c>
      <c r="C16" s="9">
        <f>SUM(C14)</f>
        <v>0</v>
      </c>
      <c r="D16" s="9">
        <f t="shared" ref="D16:E16" si="1">SUM(D14)</f>
        <v>2601504</v>
      </c>
      <c r="E16" s="9">
        <f t="shared" si="1"/>
        <v>2601504</v>
      </c>
      <c r="F16" s="47">
        <f t="shared" si="0"/>
        <v>1</v>
      </c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Összesítő</vt:lpstr>
      <vt:lpstr>072210</vt:lpstr>
      <vt:lpstr>018030</vt:lpstr>
      <vt:lpstr>'072210'!Nyomtatási_terület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Éva Horváthné</dc:creator>
  <cp:lastModifiedBy>Rajcsicsné Hajni</cp:lastModifiedBy>
  <cp:lastPrinted>2025-08-21T09:31:33Z</cp:lastPrinted>
  <dcterms:created xsi:type="dcterms:W3CDTF">2024-05-17T07:19:03Z</dcterms:created>
  <dcterms:modified xsi:type="dcterms:W3CDTF">2025-09-03T11:53:39Z</dcterms:modified>
</cp:coreProperties>
</file>